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341" windowWidth="15480" windowHeight="10695" activeTab="1"/>
  </bookViews>
  <sheets>
    <sheet name="Contents" sheetId="1" r:id="rId1"/>
    <sheet name="Data - Figure 17" sheetId="2" r:id="rId2"/>
  </sheets>
  <definedNames/>
  <calcPr fullCalcOnLoad="1"/>
</workbook>
</file>

<file path=xl/sharedStrings.xml><?xml version="1.0" encoding="utf-8"?>
<sst xmlns="http://schemas.openxmlformats.org/spreadsheetml/2006/main" count="28" uniqueCount="28">
  <si>
    <t>B exit</t>
  </si>
  <si>
    <t>Magnification</t>
  </si>
  <si>
    <t>This workbook is provided to you to share data reported in:</t>
  </si>
  <si>
    <t>Lens Thickness (mm)</t>
  </si>
  <si>
    <t>Lens Width  (mm)</t>
  </si>
  <si>
    <t>Maximum Light Efficiency (Gain) %</t>
  </si>
  <si>
    <t>Area of the Retina</t>
  </si>
  <si>
    <t>Beta (Radians)</t>
  </si>
  <si>
    <t>Beta (Degrees)</t>
  </si>
  <si>
    <t>A exit</t>
  </si>
  <si>
    <r>
      <t>*Exit pupil</t>
    </r>
    <r>
      <rPr>
        <sz val="10"/>
        <rFont val="Arial"/>
        <family val="0"/>
      </rPr>
      <t xml:space="preserve"> refers to the telescopic eyepiece that is positioned above the wearer's pupil.  </t>
    </r>
  </si>
  <si>
    <t>In-the-Spectacle-Lens Telescopic Device</t>
  </si>
  <si>
    <t xml:space="preserve">Included in this workbook is the data for  Figure 17. </t>
  </si>
  <si>
    <r>
      <t xml:space="preserve">Figure 17: </t>
    </r>
    <r>
      <rPr>
        <sz val="11"/>
        <rFont val="Arial"/>
        <family val="2"/>
      </rPr>
      <t xml:space="preserve"> Calculations of the influence of the carrier lens thickness, entrance pupil format factor, and the eye's pupil diameter on the light loss due to exit pupil coupling in a Keplerian telescope of magnification 2.8x.</t>
    </r>
  </si>
  <si>
    <t>Alpha (Radians)</t>
  </si>
  <si>
    <t>Alpha (Degrees)</t>
  </si>
  <si>
    <t>Degree of Overlap Between Eye Pupil and Exit Pupil*</t>
  </si>
  <si>
    <t>This is due to the rectagular geometry of the exit pupil compared with the circular geometry of the eye pupil.</t>
  </si>
  <si>
    <r>
      <t xml:space="preserve">*In the </t>
    </r>
    <r>
      <rPr>
        <i/>
        <sz val="10"/>
        <rFont val="Arial"/>
        <family val="2"/>
      </rPr>
      <t>Degree of Overlap</t>
    </r>
    <r>
      <rPr>
        <sz val="10"/>
        <rFont val="Arial"/>
        <family val="0"/>
      </rPr>
      <t xml:space="preserve"> Column:</t>
    </r>
  </si>
  <si>
    <r>
      <t>"</t>
    </r>
    <r>
      <rPr>
        <b/>
        <sz val="10"/>
        <rFont val="Arial"/>
        <family val="2"/>
      </rPr>
      <t>Tx Limits</t>
    </r>
    <r>
      <rPr>
        <sz val="10"/>
        <rFont val="Arial"/>
        <family val="2"/>
      </rPr>
      <t>" means that the exit pupil of the Tx is smaller than the eye pupil</t>
    </r>
  </si>
  <si>
    <r>
      <t xml:space="preserve"> </t>
    </r>
    <r>
      <rPr>
        <b/>
        <sz val="10"/>
        <rFont val="Arial"/>
        <family val="2"/>
      </rPr>
      <t>*Full*</t>
    </r>
    <r>
      <rPr>
        <sz val="10"/>
        <rFont val="Arial"/>
        <family val="2"/>
      </rPr>
      <t xml:space="preserve"> means that the exit pupil covers the entire eye pupil </t>
    </r>
  </si>
  <si>
    <r>
      <t>*Partial*</t>
    </r>
    <r>
      <rPr>
        <sz val="10"/>
        <rFont val="Arial"/>
        <family val="2"/>
      </rPr>
      <t xml:space="preserve"> means that the eye pupil has some area uncovered by the exit pupil, and the exit pupil is at least in one dimension bigger than the eye pupil.</t>
    </r>
  </si>
  <si>
    <r>
      <t>In-the-Spectacle-Lens Telescopic Device
Eli Peli</t>
    </r>
    <r>
      <rPr>
        <vertAlign val="superscript"/>
        <sz val="10"/>
        <rFont val="Arial"/>
        <family val="2"/>
      </rPr>
      <t>a</t>
    </r>
    <r>
      <rPr>
        <sz val="10"/>
        <rFont val="Arial"/>
        <family val="0"/>
      </rPr>
      <t xml:space="preserve"> OD, MSc, FAAO, Fernando Vargas-Martín</t>
    </r>
    <r>
      <rPr>
        <vertAlign val="superscript"/>
        <sz val="10"/>
        <rFont val="Arial"/>
        <family val="2"/>
      </rPr>
      <t>a,b
a</t>
    </r>
    <r>
      <rPr>
        <sz val="10"/>
        <rFont val="Arial"/>
        <family val="2"/>
      </rPr>
      <t>The Schepens Eye Research Institute, 20 Staniford St., Boston, MA 02114 (617) 912-2597, eli.peli@schepens.harvard.edu</t>
    </r>
    <r>
      <rPr>
        <vertAlign val="superscript"/>
        <sz val="10"/>
        <rFont val="Arial"/>
        <family val="2"/>
      </rPr>
      <t xml:space="preserve">
b</t>
    </r>
    <r>
      <rPr>
        <sz val="10"/>
        <rFont val="Arial"/>
        <family val="2"/>
      </rPr>
      <t>Departamento de Fiscia, Universidad de Murcia, EdificioC, Campus de Espinardo, Murcia, 30100 Spain 30100; Phone &amp; fax: +34 968398317, vargas@um.es</t>
    </r>
  </si>
  <si>
    <r>
      <t>Area of the Eye Pupil (mm</t>
    </r>
    <r>
      <rPr>
        <b/>
        <vertAlign val="superscript"/>
        <sz val="10"/>
        <rFont val="Arial"/>
        <family val="2"/>
      </rPr>
      <t>2</t>
    </r>
    <r>
      <rPr>
        <b/>
        <sz val="10"/>
        <rFont val="Arial"/>
        <family val="2"/>
      </rPr>
      <t>)</t>
    </r>
  </si>
  <si>
    <r>
      <t>Area of the Exit Pupil* (mm</t>
    </r>
    <r>
      <rPr>
        <b/>
        <vertAlign val="superscript"/>
        <sz val="10"/>
        <rFont val="Arial"/>
        <family val="2"/>
      </rPr>
      <t>2</t>
    </r>
    <r>
      <rPr>
        <b/>
        <sz val="10"/>
        <rFont val="Arial"/>
        <family val="2"/>
      </rPr>
      <t>)</t>
    </r>
  </si>
  <si>
    <r>
      <t>Area of the Exit Pupil Effective (mm</t>
    </r>
    <r>
      <rPr>
        <b/>
        <vertAlign val="superscript"/>
        <sz val="10"/>
        <rFont val="Arial"/>
        <family val="2"/>
      </rPr>
      <t>2</t>
    </r>
    <r>
      <rPr>
        <b/>
        <sz val="10"/>
        <rFont val="Arial"/>
        <family val="2"/>
      </rPr>
      <t>)</t>
    </r>
  </si>
  <si>
    <r>
      <t>Pupil Diameter (mm</t>
    </r>
    <r>
      <rPr>
        <b/>
        <vertAlign val="superscript"/>
        <sz val="10"/>
        <rFont val="Arial"/>
        <family val="2"/>
      </rPr>
      <t>2</t>
    </r>
    <r>
      <rPr>
        <b/>
        <sz val="10"/>
        <rFont val="Arial"/>
        <family val="2"/>
      </rPr>
      <t>)</t>
    </r>
  </si>
  <si>
    <r>
      <t xml:space="preserve">*Columns </t>
    </r>
    <r>
      <rPr>
        <i/>
        <sz val="10"/>
        <rFont val="Arial"/>
        <family val="2"/>
      </rPr>
      <t>G</t>
    </r>
    <r>
      <rPr>
        <sz val="10"/>
        <rFont val="Arial"/>
        <family val="0"/>
      </rPr>
      <t xml:space="preserve"> through</t>
    </r>
    <r>
      <rPr>
        <i/>
        <sz val="10"/>
        <rFont val="Arial"/>
        <family val="2"/>
      </rPr>
      <t xml:space="preserve"> L</t>
    </r>
    <r>
      <rPr>
        <sz val="10"/>
        <rFont val="Arial"/>
        <family val="0"/>
      </rPr>
      <t xml:space="preserve"> are intermediates used in the calculation of the Area of the Exit Pupil effective.  They are hidden because they are not presented in Figure 17, but can be unhidden if more information about the calculations is desired. </t>
    </r>
  </si>
</sst>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0\ &quot;Pts&quot;;\-#,##0\ &quot;Pts&quot;"/>
    <numFmt numFmtId="189" formatCode="#,##0\ &quot;Pts&quot;;[Red]\-#,##0\ &quot;Pts&quot;"/>
    <numFmt numFmtId="190" formatCode="#,##0.00\ &quot;Pts&quot;;\-#,##0.00\ &quot;Pts&quot;"/>
    <numFmt numFmtId="191" formatCode="#,##0.00\ &quot;Pts&quot;;[Red]\-#,##0.00\ &quot;Pts&quot;"/>
    <numFmt numFmtId="192" formatCode="_-* #,##0\ &quot;Pts&quot;_-;\-* #,##0\ &quot;Pts&quot;_-;_-* &quot;-&quot;\ &quot;Pts&quot;_-;_-@_-"/>
    <numFmt numFmtId="193" formatCode="_-* #,##0\ _P_t_s_-;\-* #,##0\ _P_t_s_-;_-* &quot;-&quot;\ _P_t_s_-;_-@_-"/>
    <numFmt numFmtId="194" formatCode="_-* #,##0.00\ &quot;Pts&quot;_-;\-* #,##0.00\ &quot;Pts&quot;_-;_-* &quot;-&quot;??\ &quot;Pts&quot;_-;_-@_-"/>
    <numFmt numFmtId="195" formatCode="_-* #,##0.00\ _P_t_s_-;\-* #,##0.00\ _P_t_s_-;_-* &quot;-&quot;??\ _P_t_s_-;_-@_-"/>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0.00000000"/>
    <numFmt numFmtId="201" formatCode="0.0000000"/>
    <numFmt numFmtId="202" formatCode="0.000000"/>
    <numFmt numFmtId="203" formatCode="0.00000"/>
    <numFmt numFmtId="204" formatCode="0.0000"/>
    <numFmt numFmtId="205" formatCode="0.000"/>
    <numFmt numFmtId="206" formatCode="&quot;Yes&quot;;&quot;Yes&quot;;&quot;No&quot;"/>
    <numFmt numFmtId="207" formatCode="&quot;True&quot;;&quot;True&quot;;&quot;False&quot;"/>
    <numFmt numFmtId="208" formatCode="&quot;On&quot;;&quot;On&quot;;&quot;Off&quot;"/>
  </numFmts>
  <fonts count="12">
    <font>
      <sz val="10"/>
      <name val="Arial"/>
      <family val="0"/>
    </font>
    <font>
      <b/>
      <sz val="10"/>
      <name val="Arial"/>
      <family val="2"/>
    </font>
    <font>
      <sz val="11"/>
      <name val="Arial"/>
      <family val="2"/>
    </font>
    <font>
      <u val="single"/>
      <sz val="10"/>
      <color indexed="12"/>
      <name val="Arial"/>
      <family val="0"/>
    </font>
    <font>
      <u val="single"/>
      <sz val="10"/>
      <color indexed="36"/>
      <name val="Arial"/>
      <family val="0"/>
    </font>
    <font>
      <b/>
      <sz val="9"/>
      <name val="Arial"/>
      <family val="2"/>
    </font>
    <font>
      <sz val="8"/>
      <name val="Arial"/>
      <family val="0"/>
    </font>
    <font>
      <i/>
      <sz val="10"/>
      <name val="Arial"/>
      <family val="2"/>
    </font>
    <font>
      <vertAlign val="superscript"/>
      <sz val="10"/>
      <name val="Arial"/>
      <family val="2"/>
    </font>
    <font>
      <b/>
      <sz val="11"/>
      <name val="Arial"/>
      <family val="2"/>
    </font>
    <font>
      <sz val="10"/>
      <name val="Arial Unicode MS"/>
      <family val="2"/>
    </font>
    <font>
      <b/>
      <vertAlign val="superscript"/>
      <sz val="10"/>
      <name val="Arial"/>
      <family val="2"/>
    </font>
  </fonts>
  <fills count="7">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9">
    <border>
      <left/>
      <right/>
      <top/>
      <bottom/>
      <diagonal/>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5" fillId="0" borderId="0" xfId="0" applyFont="1" applyAlignment="1">
      <alignment horizontal="left" vertical="top" wrapText="1"/>
    </xf>
    <xf numFmtId="0" fontId="0" fillId="0" borderId="0" xfId="0" applyAlignment="1">
      <alignment horizontal="left" vertical="top" wrapText="1"/>
    </xf>
    <xf numFmtId="0" fontId="7" fillId="0" borderId="0" xfId="0" applyFont="1" applyAlignment="1">
      <alignment/>
    </xf>
    <xf numFmtId="0" fontId="1" fillId="2" borderId="1" xfId="0" applyFont="1" applyFill="1" applyBorder="1" applyAlignment="1">
      <alignment horizontal="center" vertical="center" wrapText="1"/>
    </xf>
    <xf numFmtId="0" fontId="1" fillId="0" borderId="0" xfId="0" applyFont="1" applyAlignment="1">
      <alignment vertical="center"/>
    </xf>
    <xf numFmtId="0" fontId="0" fillId="0" borderId="0" xfId="0" applyAlignment="1">
      <alignment vertical="center"/>
    </xf>
    <xf numFmtId="9" fontId="1" fillId="2" borderId="1" xfId="21" applyFont="1" applyFill="1" applyBorder="1" applyAlignment="1">
      <alignment horizontal="center" vertical="center" wrapText="1"/>
    </xf>
    <xf numFmtId="0" fontId="10" fillId="0" borderId="0" xfId="0" applyFont="1" applyAlignment="1">
      <alignment/>
    </xf>
    <xf numFmtId="0" fontId="0" fillId="0" borderId="0" xfId="0" applyFont="1" applyAlignment="1">
      <alignment/>
    </xf>
    <xf numFmtId="0" fontId="1" fillId="0" borderId="0" xfId="0" applyFont="1" applyAlignment="1">
      <alignment/>
    </xf>
    <xf numFmtId="0" fontId="1" fillId="2" borderId="2" xfId="0" applyFont="1" applyFill="1" applyBorder="1" applyAlignment="1">
      <alignment horizontal="center" vertical="center" wrapText="1"/>
    </xf>
    <xf numFmtId="0" fontId="0" fillId="3" borderId="3" xfId="0" applyFill="1" applyBorder="1" applyAlignment="1" applyProtection="1">
      <alignment horizontal="center"/>
      <protection locked="0"/>
    </xf>
    <xf numFmtId="0" fontId="0" fillId="3" borderId="0" xfId="0" applyFill="1" applyBorder="1" applyAlignment="1" applyProtection="1">
      <alignment horizontal="center"/>
      <protection locked="0"/>
    </xf>
    <xf numFmtId="2" fontId="0" fillId="3" borderId="0" xfId="0" applyNumberFormat="1" applyFill="1" applyBorder="1" applyAlignment="1">
      <alignment horizontal="center"/>
    </xf>
    <xf numFmtId="2" fontId="0" fillId="3" borderId="4" xfId="0" applyNumberFormat="1" applyFill="1" applyBorder="1" applyAlignment="1">
      <alignment horizontal="center"/>
    </xf>
    <xf numFmtId="0" fontId="0" fillId="4" borderId="3" xfId="0" applyFill="1" applyBorder="1" applyAlignment="1" applyProtection="1">
      <alignment horizontal="center"/>
      <protection locked="0"/>
    </xf>
    <xf numFmtId="0" fontId="0" fillId="4" borderId="0" xfId="0" applyFill="1" applyBorder="1" applyAlignment="1" applyProtection="1">
      <alignment horizontal="center"/>
      <protection locked="0"/>
    </xf>
    <xf numFmtId="2" fontId="0" fillId="4" borderId="0" xfId="0" applyNumberFormat="1" applyFill="1" applyBorder="1" applyAlignment="1">
      <alignment horizontal="center"/>
    </xf>
    <xf numFmtId="2" fontId="0" fillId="4" borderId="4" xfId="0" applyNumberFormat="1" applyFill="1" applyBorder="1" applyAlignment="1">
      <alignment horizontal="center"/>
    </xf>
    <xf numFmtId="0" fontId="0" fillId="3" borderId="3" xfId="0" applyFont="1" applyFill="1" applyBorder="1" applyAlignment="1" applyProtection="1">
      <alignment horizontal="center"/>
      <protection locked="0"/>
    </xf>
    <xf numFmtId="0" fontId="0" fillId="3" borderId="0" xfId="0" applyFont="1" applyFill="1" applyBorder="1" applyAlignment="1" applyProtection="1">
      <alignment horizontal="center"/>
      <protection locked="0"/>
    </xf>
    <xf numFmtId="2" fontId="0" fillId="3" borderId="0" xfId="0" applyNumberFormat="1" applyFont="1" applyFill="1" applyBorder="1" applyAlignment="1">
      <alignment horizontal="center"/>
    </xf>
    <xf numFmtId="2" fontId="0" fillId="3" borderId="4" xfId="0" applyNumberFormat="1" applyFont="1" applyFill="1" applyBorder="1" applyAlignment="1">
      <alignment horizontal="center"/>
    </xf>
    <xf numFmtId="0" fontId="0" fillId="4" borderId="3" xfId="0" applyFont="1" applyFill="1" applyBorder="1" applyAlignment="1" applyProtection="1">
      <alignment horizontal="center"/>
      <protection locked="0"/>
    </xf>
    <xf numFmtId="0" fontId="0" fillId="4" borderId="0" xfId="0" applyFont="1" applyFill="1" applyBorder="1" applyAlignment="1" applyProtection="1">
      <alignment horizontal="center"/>
      <protection locked="0"/>
    </xf>
    <xf numFmtId="2" fontId="0" fillId="4" borderId="0" xfId="0" applyNumberFormat="1" applyFont="1" applyFill="1" applyBorder="1" applyAlignment="1">
      <alignment horizontal="center"/>
    </xf>
    <xf numFmtId="2" fontId="0" fillId="4" borderId="4" xfId="0" applyNumberFormat="1" applyFont="1" applyFill="1" applyBorder="1" applyAlignment="1">
      <alignment horizontal="center"/>
    </xf>
    <xf numFmtId="0" fontId="0" fillId="4" borderId="5" xfId="0" applyFont="1" applyFill="1" applyBorder="1" applyAlignment="1" applyProtection="1">
      <alignment horizontal="center"/>
      <protection locked="0"/>
    </xf>
    <xf numFmtId="0" fontId="0" fillId="4" borderId="6" xfId="0" applyFont="1" applyFill="1" applyBorder="1" applyAlignment="1" applyProtection="1">
      <alignment horizontal="center"/>
      <protection locked="0"/>
    </xf>
    <xf numFmtId="2" fontId="0" fillId="4" borderId="6" xfId="0" applyNumberFormat="1" applyFont="1" applyFill="1" applyBorder="1" applyAlignment="1">
      <alignment horizontal="center"/>
    </xf>
    <xf numFmtId="2" fontId="0" fillId="4" borderId="7" xfId="0" applyNumberFormat="1" applyFont="1" applyFill="1" applyBorder="1" applyAlignment="1">
      <alignment horizontal="center"/>
    </xf>
    <xf numFmtId="0" fontId="1" fillId="2" borderId="8" xfId="0" applyFont="1" applyFill="1" applyBorder="1" applyAlignment="1">
      <alignment horizontal="center" vertical="center" wrapText="1"/>
    </xf>
    <xf numFmtId="0" fontId="0" fillId="3" borderId="3" xfId="0" applyFill="1" applyBorder="1" applyAlignment="1">
      <alignment horizontal="center"/>
    </xf>
    <xf numFmtId="9" fontId="0" fillId="3" borderId="0" xfId="21" applyFill="1" applyBorder="1" applyAlignment="1">
      <alignment horizontal="center"/>
    </xf>
    <xf numFmtId="0" fontId="0" fillId="3" borderId="4" xfId="0" applyFill="1" applyBorder="1" applyAlignment="1">
      <alignment horizontal="center"/>
    </xf>
    <xf numFmtId="0" fontId="0" fillId="4" borderId="3" xfId="0" applyFill="1" applyBorder="1" applyAlignment="1">
      <alignment horizontal="center"/>
    </xf>
    <xf numFmtId="9" fontId="0" fillId="4" borderId="0" xfId="21" applyFill="1" applyBorder="1" applyAlignment="1">
      <alignment horizontal="center"/>
    </xf>
    <xf numFmtId="0" fontId="0" fillId="4" borderId="4" xfId="0" applyFill="1" applyBorder="1" applyAlignment="1">
      <alignment horizontal="center"/>
    </xf>
    <xf numFmtId="9" fontId="0" fillId="3" borderId="0" xfId="21" applyFont="1" applyFill="1" applyBorder="1" applyAlignment="1">
      <alignment horizontal="center"/>
    </xf>
    <xf numFmtId="0" fontId="0" fillId="3" borderId="4" xfId="0" applyFont="1" applyFill="1" applyBorder="1" applyAlignment="1">
      <alignment horizontal="center"/>
    </xf>
    <xf numFmtId="9" fontId="0" fillId="4" borderId="0" xfId="21" applyFont="1" applyFill="1" applyBorder="1" applyAlignment="1">
      <alignment horizontal="center"/>
    </xf>
    <xf numFmtId="0" fontId="0" fillId="4" borderId="4" xfId="0" applyFont="1" applyFill="1" applyBorder="1" applyAlignment="1">
      <alignment horizontal="center"/>
    </xf>
    <xf numFmtId="0" fontId="0" fillId="4" borderId="5" xfId="0" applyFill="1" applyBorder="1" applyAlignment="1">
      <alignment horizontal="center"/>
    </xf>
    <xf numFmtId="9" fontId="0" fillId="4" borderId="6" xfId="21" applyFont="1" applyFill="1" applyBorder="1" applyAlignment="1">
      <alignment horizontal="center"/>
    </xf>
    <xf numFmtId="0" fontId="0" fillId="4" borderId="7" xfId="0" applyFont="1" applyFill="1" applyBorder="1" applyAlignment="1">
      <alignment horizontal="center"/>
    </xf>
    <xf numFmtId="0" fontId="9"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9" fillId="6" borderId="1" xfId="0" applyFont="1" applyFill="1" applyBorder="1" applyAlignment="1">
      <alignment horizontal="left" vertical="center" wrapText="1"/>
    </xf>
    <xf numFmtId="0" fontId="2" fillId="6" borderId="1" xfId="0" applyFont="1" applyFill="1" applyBorder="1" applyAlignment="1">
      <alignment horizontal="left" vertical="center" wrapText="1"/>
    </xf>
    <xf numFmtId="0" fontId="2" fillId="0" borderId="1" xfId="0" applyFont="1" applyBorder="1" applyAlignment="1">
      <alignment horizontal="left" vertical="center" wrapText="1"/>
    </xf>
    <xf numFmtId="0" fontId="0" fillId="0" borderId="0" xfId="0"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4"/>
  <sheetViews>
    <sheetView workbookViewId="0" topLeftCell="A1">
      <selection activeCell="A13" sqref="A13"/>
    </sheetView>
  </sheetViews>
  <sheetFormatPr defaultColWidth="9.140625" defaultRowHeight="12.75"/>
  <cols>
    <col min="1" max="1" width="50.8515625" style="0" customWidth="1"/>
  </cols>
  <sheetData>
    <row r="1" ht="41.25" customHeight="1">
      <c r="A1" s="1" t="s">
        <v>2</v>
      </c>
    </row>
    <row r="2" ht="160.5" customHeight="1">
      <c r="A2" s="2" t="s">
        <v>22</v>
      </c>
    </row>
    <row r="4" ht="12.75">
      <c r="A4" t="s">
        <v>12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Q44"/>
  <sheetViews>
    <sheetView tabSelected="1" workbookViewId="0" topLeftCell="A1">
      <pane ySplit="2" topLeftCell="BM24" activePane="bottomLeft" state="frozen"/>
      <selection pane="topLeft" activeCell="A1" sqref="A1"/>
      <selection pane="bottomLeft" activeCell="N38" sqref="N38"/>
    </sheetView>
  </sheetViews>
  <sheetFormatPr defaultColWidth="9.140625" defaultRowHeight="12.75"/>
  <cols>
    <col min="1" max="1" width="10.421875" style="0" customWidth="1"/>
    <col min="2" max="2" width="8.140625" style="0" customWidth="1"/>
    <col min="3" max="3" width="14.140625" style="0" customWidth="1"/>
    <col min="4" max="4" width="11.8515625" style="0" customWidth="1"/>
    <col min="5" max="5" width="15.140625" style="0" customWidth="1"/>
    <col min="6" max="6" width="9.57421875" style="0" hidden="1" customWidth="1"/>
    <col min="7" max="7" width="8.00390625" style="0" hidden="1" customWidth="1"/>
    <col min="8" max="8" width="8.421875" style="0" hidden="1" customWidth="1"/>
    <col min="9" max="9" width="11.140625" style="0" hidden="1" customWidth="1"/>
    <col min="10" max="10" width="10.8515625" style="0" hidden="1" customWidth="1"/>
    <col min="11" max="11" width="11.421875" style="0" hidden="1" customWidth="1"/>
    <col min="12" max="12" width="11.00390625" style="0" hidden="1" customWidth="1"/>
    <col min="13" max="13" width="24.8515625" style="0" customWidth="1"/>
    <col min="14" max="14" width="15.421875" style="0" customWidth="1"/>
    <col min="15" max="15" width="14.8515625" style="0" customWidth="1"/>
    <col min="16" max="16" width="13.8515625" style="0" customWidth="1"/>
  </cols>
  <sheetData>
    <row r="1" spans="1:16" ht="73.5" customHeight="1">
      <c r="A1" s="46" t="s">
        <v>11</v>
      </c>
      <c r="B1" s="47"/>
      <c r="C1" s="47"/>
      <c r="D1" s="47"/>
      <c r="E1" s="47"/>
      <c r="F1" s="48" t="s">
        <v>13</v>
      </c>
      <c r="G1" s="49"/>
      <c r="H1" s="49"/>
      <c r="I1" s="49"/>
      <c r="J1" s="49"/>
      <c r="K1" s="50"/>
      <c r="L1" s="50"/>
      <c r="M1" s="50"/>
      <c r="N1" s="50"/>
      <c r="O1" s="50"/>
      <c r="P1" s="50"/>
    </row>
    <row r="2" spans="1:17" s="6" customFormat="1" ht="57.75" customHeight="1">
      <c r="A2" s="4" t="s">
        <v>3</v>
      </c>
      <c r="B2" s="4" t="s">
        <v>4</v>
      </c>
      <c r="C2" s="4" t="s">
        <v>1</v>
      </c>
      <c r="D2" s="4" t="s">
        <v>6</v>
      </c>
      <c r="E2" s="4" t="s">
        <v>23</v>
      </c>
      <c r="F2" s="4" t="s">
        <v>24</v>
      </c>
      <c r="G2" s="11" t="s">
        <v>9</v>
      </c>
      <c r="H2" s="4" t="s">
        <v>0</v>
      </c>
      <c r="I2" s="4" t="s">
        <v>14</v>
      </c>
      <c r="J2" s="4" t="s">
        <v>7</v>
      </c>
      <c r="K2" s="4" t="s">
        <v>15</v>
      </c>
      <c r="L2" s="32" t="s">
        <v>8</v>
      </c>
      <c r="M2" s="4" t="s">
        <v>16</v>
      </c>
      <c r="N2" s="4" t="s">
        <v>25</v>
      </c>
      <c r="O2" s="7" t="s">
        <v>5</v>
      </c>
      <c r="P2" s="4" t="s">
        <v>26</v>
      </c>
      <c r="Q2" s="5"/>
    </row>
    <row r="3" spans="1:16" ht="12.75">
      <c r="A3" s="12">
        <v>5</v>
      </c>
      <c r="B3" s="13">
        <f aca="true" t="shared" si="0" ref="B3:B12">A3*1</f>
        <v>5</v>
      </c>
      <c r="C3" s="13">
        <v>2.8</v>
      </c>
      <c r="D3" s="13">
        <v>1</v>
      </c>
      <c r="E3" s="14">
        <f aca="true" t="shared" si="1" ref="E3:E24">PI()*$D3*$D3</f>
        <v>3.141592653589793</v>
      </c>
      <c r="F3" s="15">
        <f>$A3*$B3/$C3/$C3</f>
        <v>3.188775510204082</v>
      </c>
      <c r="G3" s="14">
        <f>A3/C3</f>
        <v>1.7857142857142858</v>
      </c>
      <c r="H3" s="14">
        <f aca="true" t="shared" si="2" ref="H3:H24">B3/C3</f>
        <v>1.7857142857142858</v>
      </c>
      <c r="I3" s="14">
        <f aca="true" t="shared" si="3" ref="I3:J7">IF(ISNUMBER(ACOS(G3/2/$D3)),ACOS(G3/2/$D3),0)</f>
        <v>0.4671461110088351</v>
      </c>
      <c r="J3" s="14">
        <f t="shared" si="3"/>
        <v>0.4671461110088351</v>
      </c>
      <c r="K3" s="14">
        <f>DEGREES(IF(ISNUMBER(I3),I3,0))</f>
        <v>26.765500576756093</v>
      </c>
      <c r="L3" s="14">
        <f>DEGREES(IF(ISNUMBER(J3),J3,0))</f>
        <v>26.765500576756093</v>
      </c>
      <c r="M3" s="33" t="str">
        <f>IF((K3+L3)&gt;90,"Tx limits",IF(OR(K3:L3),"Partial","Total"))</f>
        <v>Partial</v>
      </c>
      <c r="N3" s="14">
        <f>MAX(E3*(1-(K3+L3)/90)+$D3*(G3*SIN(I3)+H3*SIN(J3)),IF(M3="Tx limits",F3,0))</f>
        <v>2.881365379569566</v>
      </c>
      <c r="O3" s="34">
        <f>N3/E3</f>
        <v>0.9171670860247034</v>
      </c>
      <c r="P3" s="35">
        <f aca="true" t="shared" si="4" ref="P3:P24">2*D3</f>
        <v>2</v>
      </c>
    </row>
    <row r="4" spans="1:16" ht="12.75">
      <c r="A4" s="12">
        <v>5</v>
      </c>
      <c r="B4" s="13">
        <f t="shared" si="0"/>
        <v>5</v>
      </c>
      <c r="C4" s="13">
        <v>2.8</v>
      </c>
      <c r="D4" s="13">
        <v>1.5</v>
      </c>
      <c r="E4" s="14">
        <f t="shared" si="1"/>
        <v>7.0685834705770345</v>
      </c>
      <c r="F4" s="15">
        <f aca="true" t="shared" si="5" ref="F4:F24">$A4*$B4/$C4/$C4</f>
        <v>3.188775510204082</v>
      </c>
      <c r="G4" s="14">
        <f>A4/C4</f>
        <v>1.7857142857142858</v>
      </c>
      <c r="H4" s="14">
        <f>B4/C4</f>
        <v>1.7857142857142858</v>
      </c>
      <c r="I4" s="14">
        <f t="shared" si="3"/>
        <v>0.9332344061756956</v>
      </c>
      <c r="J4" s="14">
        <f t="shared" si="3"/>
        <v>0.9332344061756956</v>
      </c>
      <c r="K4" s="14">
        <f aca="true" t="shared" si="6" ref="K4:L7">DEGREES(IF(ISNUMBER(I4),I4,0))</f>
        <v>53.47039277026497</v>
      </c>
      <c r="L4" s="14">
        <f t="shared" si="6"/>
        <v>53.47039277026497</v>
      </c>
      <c r="M4" s="33" t="str">
        <f>IF((K4+L4)&gt;90,"Tx limits",IF(OR(K4:L4),"Partial","Total"))</f>
        <v>Tx limits</v>
      </c>
      <c r="N4" s="14">
        <f>MAX(E4*(1-(K4+L4)/90)+$D4*(G4*SIN(I4)+H4*SIN(J4)),IF(M4="Tx limits",F4,0))</f>
        <v>3.188775510204082</v>
      </c>
      <c r="O4" s="34">
        <f aca="true" t="shared" si="7" ref="O4:O24">N4/E4</f>
        <v>0.45111945320832014</v>
      </c>
      <c r="P4" s="35">
        <f>2*D4</f>
        <v>3</v>
      </c>
    </row>
    <row r="5" spans="1:16" ht="12.75">
      <c r="A5" s="12">
        <v>5</v>
      </c>
      <c r="B5" s="13">
        <f t="shared" si="0"/>
        <v>5</v>
      </c>
      <c r="C5" s="13">
        <v>2.8</v>
      </c>
      <c r="D5" s="13">
        <v>2</v>
      </c>
      <c r="E5" s="14">
        <f t="shared" si="1"/>
        <v>12.566370614359172</v>
      </c>
      <c r="F5" s="15">
        <f t="shared" si="5"/>
        <v>3.188775510204082</v>
      </c>
      <c r="G5" s="14">
        <f aca="true" t="shared" si="8" ref="G5:G24">A5/C5</f>
        <v>1.7857142857142858</v>
      </c>
      <c r="H5" s="14">
        <f t="shared" si="2"/>
        <v>1.7857142857142858</v>
      </c>
      <c r="I5" s="14">
        <f t="shared" si="3"/>
        <v>1.1080262090028044</v>
      </c>
      <c r="J5" s="14">
        <f t="shared" si="3"/>
        <v>1.1080262090028044</v>
      </c>
      <c r="K5" s="14">
        <f t="shared" si="6"/>
        <v>63.48522536574115</v>
      </c>
      <c r="L5" s="14">
        <f t="shared" si="6"/>
        <v>63.48522536574115</v>
      </c>
      <c r="M5" s="33" t="str">
        <f aca="true" t="shared" si="9" ref="M5:M32">IF((K5+L5)&gt;90,"Tx limits",IF(OR(K5:L5),"Partial","Total"))</f>
        <v>Tx limits</v>
      </c>
      <c r="N5" s="14">
        <f>MAX(E5*(1-(K5+L5)/90)+$D5*(G5*SIN(I5)+H5*SIN(J5)),IF(M5="Tx limits",F5,0))</f>
        <v>3.188775510204082</v>
      </c>
      <c r="O5" s="34">
        <f>N5/E5</f>
        <v>0.2537546924296801</v>
      </c>
      <c r="P5" s="35">
        <f t="shared" si="4"/>
        <v>4</v>
      </c>
    </row>
    <row r="6" spans="1:16" ht="12.75">
      <c r="A6" s="12">
        <v>5</v>
      </c>
      <c r="B6" s="13">
        <f t="shared" si="0"/>
        <v>5</v>
      </c>
      <c r="C6" s="13">
        <v>2.8</v>
      </c>
      <c r="D6" s="13">
        <v>2.5</v>
      </c>
      <c r="E6" s="14">
        <f t="shared" si="1"/>
        <v>19.634954084936208</v>
      </c>
      <c r="F6" s="15">
        <f t="shared" si="5"/>
        <v>3.188775510204082</v>
      </c>
      <c r="G6" s="14">
        <f t="shared" si="8"/>
        <v>1.7857142857142858</v>
      </c>
      <c r="H6" s="14">
        <f t="shared" si="2"/>
        <v>1.7857142857142858</v>
      </c>
      <c r="I6" s="14">
        <f t="shared" si="3"/>
        <v>1.2055891055045298</v>
      </c>
      <c r="J6" s="14">
        <f t="shared" si="3"/>
        <v>1.2055891055045298</v>
      </c>
      <c r="K6" s="14">
        <f t="shared" si="6"/>
        <v>69.07516757236168</v>
      </c>
      <c r="L6" s="14">
        <f t="shared" si="6"/>
        <v>69.07516757236168</v>
      </c>
      <c r="M6" s="33" t="str">
        <f>IF((K6+L6)&gt;90,"Tx limits",IF(OR(K6:L6),"Partial","Total"))</f>
        <v>Tx limits</v>
      </c>
      <c r="N6" s="14">
        <f aca="true" t="shared" si="10" ref="N6:N24">MAX(E6*(1-(K6+L6)/90)+$D6*(G6*SIN(I6)+H6*SIN(J6)),IF(M6="Tx limits",F6,0))</f>
        <v>3.188775510204082</v>
      </c>
      <c r="O6" s="34">
        <f t="shared" si="7"/>
        <v>0.16240300315499526</v>
      </c>
      <c r="P6" s="35">
        <f t="shared" si="4"/>
        <v>5</v>
      </c>
    </row>
    <row r="7" spans="1:16" ht="12.75">
      <c r="A7" s="12">
        <v>5</v>
      </c>
      <c r="B7" s="13">
        <f t="shared" si="0"/>
        <v>5</v>
      </c>
      <c r="C7" s="13">
        <v>2.8</v>
      </c>
      <c r="D7" s="13">
        <v>3</v>
      </c>
      <c r="E7" s="14">
        <f t="shared" si="1"/>
        <v>28.274333882308138</v>
      </c>
      <c r="F7" s="15">
        <f t="shared" si="5"/>
        <v>3.188775510204082</v>
      </c>
      <c r="G7" s="14">
        <f t="shared" si="8"/>
        <v>1.7857142857142858</v>
      </c>
      <c r="H7" s="14">
        <f t="shared" si="2"/>
        <v>1.7857142857142858</v>
      </c>
      <c r="I7" s="14">
        <f t="shared" si="3"/>
        <v>1.2685986128534243</v>
      </c>
      <c r="J7" s="14">
        <f t="shared" si="3"/>
        <v>1.2685986128534243</v>
      </c>
      <c r="K7" s="14">
        <f t="shared" si="6"/>
        <v>72.68534641265188</v>
      </c>
      <c r="L7" s="14">
        <f t="shared" si="6"/>
        <v>72.68534641265188</v>
      </c>
      <c r="M7" s="33" t="str">
        <f t="shared" si="9"/>
        <v>Tx limits</v>
      </c>
      <c r="N7" s="14">
        <f t="shared" si="10"/>
        <v>3.188775510204082</v>
      </c>
      <c r="O7" s="34">
        <f t="shared" si="7"/>
        <v>0.11277986330208004</v>
      </c>
      <c r="P7" s="35">
        <f t="shared" si="4"/>
        <v>6</v>
      </c>
    </row>
    <row r="8" spans="1:16" ht="12.75">
      <c r="A8" s="16">
        <v>8</v>
      </c>
      <c r="B8" s="17">
        <f t="shared" si="0"/>
        <v>8</v>
      </c>
      <c r="C8" s="17">
        <v>2.8</v>
      </c>
      <c r="D8" s="17">
        <v>1</v>
      </c>
      <c r="E8" s="18">
        <f t="shared" si="1"/>
        <v>3.141592653589793</v>
      </c>
      <c r="F8" s="19">
        <f t="shared" si="5"/>
        <v>8.16326530612245</v>
      </c>
      <c r="G8" s="18">
        <f t="shared" si="8"/>
        <v>2.857142857142857</v>
      </c>
      <c r="H8" s="18">
        <f t="shared" si="2"/>
        <v>2.857142857142857</v>
      </c>
      <c r="I8" s="18">
        <f aca="true" t="shared" si="11" ref="I8:J12">IF(ISNUMBER(ACOS(G8/2/$D8)),ACOS(G8/2/$D8),0)</f>
        <v>0</v>
      </c>
      <c r="J8" s="18">
        <f t="shared" si="11"/>
        <v>0</v>
      </c>
      <c r="K8" s="18">
        <f aca="true" t="shared" si="12" ref="K8:L12">DEGREES(IF(ISNUMBER(I8),I8,0))</f>
        <v>0</v>
      </c>
      <c r="L8" s="18">
        <f t="shared" si="12"/>
        <v>0</v>
      </c>
      <c r="M8" s="36" t="str">
        <f t="shared" si="9"/>
        <v>Total</v>
      </c>
      <c r="N8" s="18">
        <f t="shared" si="10"/>
        <v>3.141592653589793</v>
      </c>
      <c r="O8" s="37">
        <f t="shared" si="7"/>
        <v>1</v>
      </c>
      <c r="P8" s="38">
        <f t="shared" si="4"/>
        <v>2</v>
      </c>
    </row>
    <row r="9" spans="1:16" ht="12.75">
      <c r="A9" s="16">
        <v>8</v>
      </c>
      <c r="B9" s="17">
        <f t="shared" si="0"/>
        <v>8</v>
      </c>
      <c r="C9" s="17">
        <v>2.8</v>
      </c>
      <c r="D9" s="17">
        <v>1.5</v>
      </c>
      <c r="E9" s="18">
        <f t="shared" si="1"/>
        <v>7.0685834705770345</v>
      </c>
      <c r="F9" s="19">
        <f t="shared" si="5"/>
        <v>8.16326530612245</v>
      </c>
      <c r="G9" s="18">
        <f t="shared" si="8"/>
        <v>2.857142857142857</v>
      </c>
      <c r="H9" s="18">
        <f t="shared" si="2"/>
        <v>2.857142857142857</v>
      </c>
      <c r="I9" s="18">
        <f t="shared" si="11"/>
        <v>0.3098446397416268</v>
      </c>
      <c r="J9" s="18">
        <f t="shared" si="11"/>
        <v>0.3098446397416268</v>
      </c>
      <c r="K9" s="18">
        <f t="shared" si="12"/>
        <v>17.752790161946674</v>
      </c>
      <c r="L9" s="18">
        <f t="shared" si="12"/>
        <v>17.752790161946674</v>
      </c>
      <c r="M9" s="36" t="str">
        <f t="shared" si="9"/>
        <v>Partial</v>
      </c>
      <c r="N9" s="18">
        <f t="shared" si="10"/>
        <v>6.893501809813759</v>
      </c>
      <c r="O9" s="37">
        <f t="shared" si="7"/>
        <v>0.9752310117731434</v>
      </c>
      <c r="P9" s="38">
        <f t="shared" si="4"/>
        <v>3</v>
      </c>
    </row>
    <row r="10" spans="1:16" ht="12.75">
      <c r="A10" s="16">
        <v>8</v>
      </c>
      <c r="B10" s="17">
        <f t="shared" si="0"/>
        <v>8</v>
      </c>
      <c r="C10" s="17">
        <v>2.8</v>
      </c>
      <c r="D10" s="17">
        <v>2</v>
      </c>
      <c r="E10" s="18">
        <f t="shared" si="1"/>
        <v>12.566370614359172</v>
      </c>
      <c r="F10" s="19">
        <f t="shared" si="5"/>
        <v>8.16326530612245</v>
      </c>
      <c r="G10" s="18">
        <f t="shared" si="8"/>
        <v>2.857142857142857</v>
      </c>
      <c r="H10" s="18">
        <f t="shared" si="2"/>
        <v>2.857142857142857</v>
      </c>
      <c r="I10" s="18">
        <f t="shared" si="11"/>
        <v>0.7751933733103612</v>
      </c>
      <c r="J10" s="18">
        <f t="shared" si="11"/>
        <v>0.7751933733103612</v>
      </c>
      <c r="K10" s="18">
        <f t="shared" si="12"/>
        <v>44.41530859719297</v>
      </c>
      <c r="L10" s="18">
        <f t="shared" si="12"/>
        <v>44.41530859719297</v>
      </c>
      <c r="M10" s="36" t="str">
        <f t="shared" si="9"/>
        <v>Partial</v>
      </c>
      <c r="N10" s="18">
        <f t="shared" si="10"/>
        <v>8.16161049537928</v>
      </c>
      <c r="O10" s="37">
        <f t="shared" si="7"/>
        <v>0.6494803269651526</v>
      </c>
      <c r="P10" s="38">
        <f t="shared" si="4"/>
        <v>4</v>
      </c>
    </row>
    <row r="11" spans="1:16" ht="12.75">
      <c r="A11" s="16">
        <v>8</v>
      </c>
      <c r="B11" s="17">
        <f t="shared" si="0"/>
        <v>8</v>
      </c>
      <c r="C11" s="17">
        <v>2.8</v>
      </c>
      <c r="D11" s="17">
        <v>2.5</v>
      </c>
      <c r="E11" s="18">
        <f t="shared" si="1"/>
        <v>19.634954084936208</v>
      </c>
      <c r="F11" s="19">
        <f t="shared" si="5"/>
        <v>8.16326530612245</v>
      </c>
      <c r="G11" s="18">
        <f t="shared" si="8"/>
        <v>2.857142857142857</v>
      </c>
      <c r="H11" s="18">
        <f t="shared" si="2"/>
        <v>2.857142857142857</v>
      </c>
      <c r="I11" s="18">
        <f t="shared" si="11"/>
        <v>0.962550747884687</v>
      </c>
      <c r="J11" s="18">
        <f t="shared" si="11"/>
        <v>0.962550747884687</v>
      </c>
      <c r="K11" s="18">
        <f t="shared" si="12"/>
        <v>55.15009542095352</v>
      </c>
      <c r="L11" s="18">
        <f t="shared" si="12"/>
        <v>55.15009542095352</v>
      </c>
      <c r="M11" s="36" t="str">
        <f t="shared" si="9"/>
        <v>Tx limits</v>
      </c>
      <c r="N11" s="18">
        <f t="shared" si="10"/>
        <v>8.16326530612245</v>
      </c>
      <c r="O11" s="37">
        <f t="shared" si="7"/>
        <v>0.4157516880767878</v>
      </c>
      <c r="P11" s="38">
        <f t="shared" si="4"/>
        <v>5</v>
      </c>
    </row>
    <row r="12" spans="1:16" ht="12.75">
      <c r="A12" s="16">
        <v>8</v>
      </c>
      <c r="B12" s="17">
        <f t="shared" si="0"/>
        <v>8</v>
      </c>
      <c r="C12" s="17">
        <v>2.8</v>
      </c>
      <c r="D12" s="17">
        <v>3</v>
      </c>
      <c r="E12" s="18">
        <f t="shared" si="1"/>
        <v>28.274333882308138</v>
      </c>
      <c r="F12" s="19">
        <f t="shared" si="5"/>
        <v>8.16326530612245</v>
      </c>
      <c r="G12" s="18">
        <f t="shared" si="8"/>
        <v>2.857142857142857</v>
      </c>
      <c r="H12" s="18">
        <f t="shared" si="2"/>
        <v>2.857142857142857</v>
      </c>
      <c r="I12" s="18">
        <f t="shared" si="11"/>
        <v>1.07447896466943</v>
      </c>
      <c r="J12" s="18">
        <f t="shared" si="11"/>
        <v>1.07447896466943</v>
      </c>
      <c r="K12" s="18">
        <f t="shared" si="12"/>
        <v>61.56310985114463</v>
      </c>
      <c r="L12" s="18">
        <f t="shared" si="12"/>
        <v>61.56310985114463</v>
      </c>
      <c r="M12" s="36" t="str">
        <f t="shared" si="9"/>
        <v>Tx limits</v>
      </c>
      <c r="N12" s="18">
        <f t="shared" si="10"/>
        <v>8.16326530612245</v>
      </c>
      <c r="O12" s="37">
        <f t="shared" si="7"/>
        <v>0.2887164500533249</v>
      </c>
      <c r="P12" s="38">
        <f t="shared" si="4"/>
        <v>6</v>
      </c>
    </row>
    <row r="13" spans="1:16" ht="12.75">
      <c r="A13" s="20">
        <v>5</v>
      </c>
      <c r="B13" s="21">
        <f aca="true" t="shared" si="13" ref="B13:B22">A13*2</f>
        <v>10</v>
      </c>
      <c r="C13" s="21">
        <v>2.8</v>
      </c>
      <c r="D13" s="21">
        <v>1</v>
      </c>
      <c r="E13" s="22">
        <f t="shared" si="1"/>
        <v>3.141592653589793</v>
      </c>
      <c r="F13" s="23">
        <f t="shared" si="5"/>
        <v>6.377551020408164</v>
      </c>
      <c r="G13" s="22">
        <f>A13/C13</f>
        <v>1.7857142857142858</v>
      </c>
      <c r="H13" s="22">
        <f>B13/C13</f>
        <v>3.5714285714285716</v>
      </c>
      <c r="I13" s="22">
        <f aca="true" t="shared" si="14" ref="I13:J17">IF(ISNUMBER(ACOS(G13/2/$D13)),ACOS(G13/2/$D13),0)</f>
        <v>0.4671461110088351</v>
      </c>
      <c r="J13" s="22">
        <f t="shared" si="14"/>
        <v>0</v>
      </c>
      <c r="K13" s="22">
        <f aca="true" t="shared" si="15" ref="K13:L17">DEGREES(IF(ISNUMBER(I13),I13,0))</f>
        <v>26.765500576756093</v>
      </c>
      <c r="L13" s="22">
        <f t="shared" si="15"/>
        <v>0</v>
      </c>
      <c r="M13" s="33" t="str">
        <f t="shared" si="9"/>
        <v>Partial</v>
      </c>
      <c r="N13" s="22">
        <f t="shared" si="10"/>
        <v>3.0114790165796794</v>
      </c>
      <c r="O13" s="39">
        <f t="shared" si="7"/>
        <v>0.9585835430123516</v>
      </c>
      <c r="P13" s="40">
        <f t="shared" si="4"/>
        <v>2</v>
      </c>
    </row>
    <row r="14" spans="1:16" ht="12.75">
      <c r="A14" s="20">
        <v>5</v>
      </c>
      <c r="B14" s="21">
        <f t="shared" si="13"/>
        <v>10</v>
      </c>
      <c r="C14" s="21">
        <v>2.8</v>
      </c>
      <c r="D14" s="21">
        <v>1.5</v>
      </c>
      <c r="E14" s="22">
        <f t="shared" si="1"/>
        <v>7.0685834705770345</v>
      </c>
      <c r="F14" s="23">
        <f t="shared" si="5"/>
        <v>6.377551020408164</v>
      </c>
      <c r="G14" s="22">
        <f t="shared" si="8"/>
        <v>1.7857142857142858</v>
      </c>
      <c r="H14" s="22">
        <f t="shared" si="2"/>
        <v>3.5714285714285716</v>
      </c>
      <c r="I14" s="22">
        <f t="shared" si="14"/>
        <v>0.9332344061756956</v>
      </c>
      <c r="J14" s="22">
        <f t="shared" si="14"/>
        <v>0</v>
      </c>
      <c r="K14" s="22">
        <f t="shared" si="15"/>
        <v>53.47039277026497</v>
      </c>
      <c r="L14" s="22">
        <f t="shared" si="15"/>
        <v>0</v>
      </c>
      <c r="M14" s="33" t="str">
        <f t="shared" si="9"/>
        <v>Partial</v>
      </c>
      <c r="N14" s="22">
        <f t="shared" si="10"/>
        <v>5.021393059965767</v>
      </c>
      <c r="O14" s="39">
        <f t="shared" si="7"/>
        <v>0.7103818015119021</v>
      </c>
      <c r="P14" s="40">
        <f t="shared" si="4"/>
        <v>3</v>
      </c>
    </row>
    <row r="15" spans="1:16" ht="12.75">
      <c r="A15" s="20">
        <v>5</v>
      </c>
      <c r="B15" s="21">
        <f t="shared" si="13"/>
        <v>10</v>
      </c>
      <c r="C15" s="21">
        <v>2.8</v>
      </c>
      <c r="D15" s="21">
        <v>2</v>
      </c>
      <c r="E15" s="22">
        <f t="shared" si="1"/>
        <v>12.566370614359172</v>
      </c>
      <c r="F15" s="23">
        <f t="shared" si="5"/>
        <v>6.377551020408164</v>
      </c>
      <c r="G15" s="22">
        <f t="shared" si="8"/>
        <v>1.7857142857142858</v>
      </c>
      <c r="H15" s="22">
        <f t="shared" si="2"/>
        <v>3.5714285714285716</v>
      </c>
      <c r="I15" s="22">
        <f t="shared" si="14"/>
        <v>1.1080262090028044</v>
      </c>
      <c r="J15" s="22">
        <f t="shared" si="14"/>
        <v>0.4671461110088351</v>
      </c>
      <c r="K15" s="22">
        <f t="shared" si="15"/>
        <v>63.48522536574115</v>
      </c>
      <c r="L15" s="22">
        <f t="shared" si="15"/>
        <v>26.765500576756093</v>
      </c>
      <c r="M15" s="33" t="str">
        <f t="shared" si="9"/>
        <v>Tx limits</v>
      </c>
      <c r="N15" s="22">
        <f t="shared" si="10"/>
        <v>6.377551020408164</v>
      </c>
      <c r="O15" s="39">
        <f t="shared" si="7"/>
        <v>0.5075093848593601</v>
      </c>
      <c r="P15" s="40">
        <f t="shared" si="4"/>
        <v>4</v>
      </c>
    </row>
    <row r="16" spans="1:16" ht="12.75">
      <c r="A16" s="20">
        <v>5</v>
      </c>
      <c r="B16" s="21">
        <f t="shared" si="13"/>
        <v>10</v>
      </c>
      <c r="C16" s="21">
        <v>2.8</v>
      </c>
      <c r="D16" s="21">
        <v>2.5</v>
      </c>
      <c r="E16" s="22">
        <f t="shared" si="1"/>
        <v>19.634954084936208</v>
      </c>
      <c r="F16" s="23">
        <f t="shared" si="5"/>
        <v>6.377551020408164</v>
      </c>
      <c r="G16" s="22">
        <f t="shared" si="8"/>
        <v>1.7857142857142858</v>
      </c>
      <c r="H16" s="22">
        <f t="shared" si="2"/>
        <v>3.5714285714285716</v>
      </c>
      <c r="I16" s="22">
        <f t="shared" si="14"/>
        <v>1.2055891055045298</v>
      </c>
      <c r="J16" s="22">
        <f t="shared" si="14"/>
        <v>0.7751933733103612</v>
      </c>
      <c r="K16" s="22">
        <f t="shared" si="15"/>
        <v>69.07516757236168</v>
      </c>
      <c r="L16" s="22">
        <f t="shared" si="15"/>
        <v>44.41530859719297</v>
      </c>
      <c r="M16" s="33" t="str">
        <f t="shared" si="9"/>
        <v>Tx limits</v>
      </c>
      <c r="N16" s="22">
        <f t="shared" si="10"/>
        <v>6.377551020408164</v>
      </c>
      <c r="O16" s="39">
        <f t="shared" si="7"/>
        <v>0.3248060063099905</v>
      </c>
      <c r="P16" s="40">
        <f t="shared" si="4"/>
        <v>5</v>
      </c>
    </row>
    <row r="17" spans="1:16" ht="12.75">
      <c r="A17" s="20">
        <v>5</v>
      </c>
      <c r="B17" s="21">
        <f t="shared" si="13"/>
        <v>10</v>
      </c>
      <c r="C17" s="21">
        <v>2.8</v>
      </c>
      <c r="D17" s="21">
        <v>3</v>
      </c>
      <c r="E17" s="22">
        <f t="shared" si="1"/>
        <v>28.274333882308138</v>
      </c>
      <c r="F17" s="23">
        <f t="shared" si="5"/>
        <v>6.377551020408164</v>
      </c>
      <c r="G17" s="22">
        <f t="shared" si="8"/>
        <v>1.7857142857142858</v>
      </c>
      <c r="H17" s="22">
        <f t="shared" si="2"/>
        <v>3.5714285714285716</v>
      </c>
      <c r="I17" s="22">
        <f t="shared" si="14"/>
        <v>1.2685986128534243</v>
      </c>
      <c r="J17" s="22">
        <f t="shared" si="14"/>
        <v>0.9332344061756956</v>
      </c>
      <c r="K17" s="22">
        <f t="shared" si="15"/>
        <v>72.68534641265188</v>
      </c>
      <c r="L17" s="22">
        <f t="shared" si="15"/>
        <v>53.47039277026497</v>
      </c>
      <c r="M17" s="33" t="str">
        <f t="shared" si="9"/>
        <v>Tx limits</v>
      </c>
      <c r="N17" s="22">
        <f t="shared" si="10"/>
        <v>6.377551020408164</v>
      </c>
      <c r="O17" s="39">
        <f t="shared" si="7"/>
        <v>0.22555972660416007</v>
      </c>
      <c r="P17" s="40">
        <f t="shared" si="4"/>
        <v>6</v>
      </c>
    </row>
    <row r="18" spans="1:16" ht="12.75">
      <c r="A18" s="16">
        <v>8</v>
      </c>
      <c r="B18" s="17">
        <f t="shared" si="13"/>
        <v>16</v>
      </c>
      <c r="C18" s="17">
        <v>2.8</v>
      </c>
      <c r="D18" s="17">
        <v>1</v>
      </c>
      <c r="E18" s="18">
        <f t="shared" si="1"/>
        <v>3.141592653589793</v>
      </c>
      <c r="F18" s="19">
        <f t="shared" si="5"/>
        <v>16.3265306122449</v>
      </c>
      <c r="G18" s="18">
        <f t="shared" si="8"/>
        <v>2.857142857142857</v>
      </c>
      <c r="H18" s="18">
        <f t="shared" si="2"/>
        <v>5.714285714285714</v>
      </c>
      <c r="I18" s="18">
        <f aca="true" t="shared" si="16" ref="I18:J22">IF(ISNUMBER(ACOS(G18/2/$D18)),ACOS(G18/2/$D18),0)</f>
        <v>0</v>
      </c>
      <c r="J18" s="18">
        <f t="shared" si="16"/>
        <v>0</v>
      </c>
      <c r="K18" s="18">
        <f aca="true" t="shared" si="17" ref="K18:L22">DEGREES(IF(ISNUMBER(I18),I18,0))</f>
        <v>0</v>
      </c>
      <c r="L18" s="18">
        <f t="shared" si="17"/>
        <v>0</v>
      </c>
      <c r="M18" s="36" t="str">
        <f t="shared" si="9"/>
        <v>Total</v>
      </c>
      <c r="N18" s="18">
        <f t="shared" si="10"/>
        <v>3.141592653589793</v>
      </c>
      <c r="O18" s="37">
        <f t="shared" si="7"/>
        <v>1</v>
      </c>
      <c r="P18" s="38">
        <f t="shared" si="4"/>
        <v>2</v>
      </c>
    </row>
    <row r="19" spans="1:16" ht="12.75">
      <c r="A19" s="16">
        <v>8</v>
      </c>
      <c r="B19" s="17">
        <f t="shared" si="13"/>
        <v>16</v>
      </c>
      <c r="C19" s="17">
        <v>2.8</v>
      </c>
      <c r="D19" s="17">
        <v>1.5</v>
      </c>
      <c r="E19" s="18">
        <f t="shared" si="1"/>
        <v>7.0685834705770345</v>
      </c>
      <c r="F19" s="19">
        <f t="shared" si="5"/>
        <v>16.3265306122449</v>
      </c>
      <c r="G19" s="18">
        <f t="shared" si="8"/>
        <v>2.857142857142857</v>
      </c>
      <c r="H19" s="18">
        <f t="shared" si="2"/>
        <v>5.714285714285714</v>
      </c>
      <c r="I19" s="18">
        <f t="shared" si="16"/>
        <v>0.3098446397416268</v>
      </c>
      <c r="J19" s="18">
        <f t="shared" si="16"/>
        <v>0</v>
      </c>
      <c r="K19" s="18">
        <f t="shared" si="17"/>
        <v>17.752790161946674</v>
      </c>
      <c r="L19" s="18">
        <f t="shared" si="17"/>
        <v>0</v>
      </c>
      <c r="M19" s="36" t="str">
        <f t="shared" si="9"/>
        <v>Partial</v>
      </c>
      <c r="N19" s="18">
        <f t="shared" si="10"/>
        <v>6.981042640195397</v>
      </c>
      <c r="O19" s="37">
        <f t="shared" si="7"/>
        <v>0.9876155058865717</v>
      </c>
      <c r="P19" s="38">
        <f t="shared" si="4"/>
        <v>3</v>
      </c>
    </row>
    <row r="20" spans="1:16" ht="12.75">
      <c r="A20" s="16">
        <v>8</v>
      </c>
      <c r="B20" s="17">
        <f t="shared" si="13"/>
        <v>16</v>
      </c>
      <c r="C20" s="17">
        <v>2.8</v>
      </c>
      <c r="D20" s="17">
        <v>2</v>
      </c>
      <c r="E20" s="18">
        <f t="shared" si="1"/>
        <v>12.566370614359172</v>
      </c>
      <c r="F20" s="19">
        <f t="shared" si="5"/>
        <v>16.3265306122449</v>
      </c>
      <c r="G20" s="18">
        <f t="shared" si="8"/>
        <v>2.857142857142857</v>
      </c>
      <c r="H20" s="18">
        <f t="shared" si="2"/>
        <v>5.714285714285714</v>
      </c>
      <c r="I20" s="18">
        <f t="shared" si="16"/>
        <v>0.7751933733103612</v>
      </c>
      <c r="J20" s="18">
        <f t="shared" si="16"/>
        <v>0</v>
      </c>
      <c r="K20" s="18">
        <f t="shared" si="17"/>
        <v>44.41530859719297</v>
      </c>
      <c r="L20" s="18">
        <f t="shared" si="17"/>
        <v>0</v>
      </c>
      <c r="M20" s="36" t="str">
        <f t="shared" si="9"/>
        <v>Partial</v>
      </c>
      <c r="N20" s="18">
        <f t="shared" si="10"/>
        <v>10.363990554869227</v>
      </c>
      <c r="O20" s="37">
        <f t="shared" si="7"/>
        <v>0.8247401634825764</v>
      </c>
      <c r="P20" s="38">
        <f t="shared" si="4"/>
        <v>4</v>
      </c>
    </row>
    <row r="21" spans="1:16" ht="12.75">
      <c r="A21" s="16">
        <v>8</v>
      </c>
      <c r="B21" s="17">
        <f t="shared" si="13"/>
        <v>16</v>
      </c>
      <c r="C21" s="17">
        <v>2.8</v>
      </c>
      <c r="D21" s="17">
        <v>2.5</v>
      </c>
      <c r="E21" s="18">
        <f t="shared" si="1"/>
        <v>19.634954084936208</v>
      </c>
      <c r="F21" s="19">
        <f t="shared" si="5"/>
        <v>16.3265306122449</v>
      </c>
      <c r="G21" s="18">
        <f t="shared" si="8"/>
        <v>2.857142857142857</v>
      </c>
      <c r="H21" s="18">
        <f t="shared" si="2"/>
        <v>5.714285714285714</v>
      </c>
      <c r="I21" s="18">
        <f t="shared" si="16"/>
        <v>0.962550747884687</v>
      </c>
      <c r="J21" s="18">
        <f t="shared" si="16"/>
        <v>0</v>
      </c>
      <c r="K21" s="18">
        <f t="shared" si="17"/>
        <v>55.15009542095352</v>
      </c>
      <c r="L21" s="18">
        <f t="shared" si="17"/>
        <v>0</v>
      </c>
      <c r="M21" s="36" t="str">
        <f t="shared" si="9"/>
        <v>Partial</v>
      </c>
      <c r="N21" s="18">
        <f t="shared" si="10"/>
        <v>13.464868355293975</v>
      </c>
      <c r="O21" s="37">
        <f t="shared" si="7"/>
        <v>0.685760114184536</v>
      </c>
      <c r="P21" s="38">
        <f t="shared" si="4"/>
        <v>5</v>
      </c>
    </row>
    <row r="22" spans="1:16" ht="12.75">
      <c r="A22" s="16">
        <v>8</v>
      </c>
      <c r="B22" s="17">
        <f t="shared" si="13"/>
        <v>16</v>
      </c>
      <c r="C22" s="17">
        <v>2.8</v>
      </c>
      <c r="D22" s="17">
        <v>3</v>
      </c>
      <c r="E22" s="18">
        <f t="shared" si="1"/>
        <v>28.274333882308138</v>
      </c>
      <c r="F22" s="19">
        <f t="shared" si="5"/>
        <v>16.3265306122449</v>
      </c>
      <c r="G22" s="18">
        <f t="shared" si="8"/>
        <v>2.857142857142857</v>
      </c>
      <c r="H22" s="18">
        <f t="shared" si="2"/>
        <v>5.714285714285714</v>
      </c>
      <c r="I22" s="18">
        <f t="shared" si="16"/>
        <v>1.07447896466943</v>
      </c>
      <c r="J22" s="18">
        <f t="shared" si="16"/>
        <v>0.3098446397416268</v>
      </c>
      <c r="K22" s="18">
        <f t="shared" si="17"/>
        <v>61.56310985114463</v>
      </c>
      <c r="L22" s="18">
        <f t="shared" si="17"/>
        <v>17.752790161946674</v>
      </c>
      <c r="M22" s="36" t="str">
        <f t="shared" si="9"/>
        <v>Partial</v>
      </c>
      <c r="N22" s="18">
        <f t="shared" si="10"/>
        <v>16.120767691678534</v>
      </c>
      <c r="O22" s="37">
        <f t="shared" si="7"/>
        <v>0.5701555254592805</v>
      </c>
      <c r="P22" s="38">
        <f t="shared" si="4"/>
        <v>6</v>
      </c>
    </row>
    <row r="23" spans="1:16" ht="12.75">
      <c r="A23" s="12">
        <v>5</v>
      </c>
      <c r="B23" s="13">
        <f>A23*4</f>
        <v>20</v>
      </c>
      <c r="C23" s="13">
        <v>2.8</v>
      </c>
      <c r="D23" s="13">
        <v>1</v>
      </c>
      <c r="E23" s="14">
        <f t="shared" si="1"/>
        <v>3.141592653589793</v>
      </c>
      <c r="F23" s="15">
        <f t="shared" si="5"/>
        <v>12.755102040816327</v>
      </c>
      <c r="G23" s="14">
        <f t="shared" si="8"/>
        <v>1.7857142857142858</v>
      </c>
      <c r="H23" s="14">
        <f t="shared" si="2"/>
        <v>7.142857142857143</v>
      </c>
      <c r="I23" s="14">
        <f aca="true" t="shared" si="18" ref="I23:J27">IF(ISNUMBER(ACOS(G23/2/$D23)),ACOS(G23/2/$D23),0)</f>
        <v>0.4671461110088351</v>
      </c>
      <c r="J23" s="14">
        <f t="shared" si="18"/>
        <v>0</v>
      </c>
      <c r="K23" s="14">
        <f aca="true" t="shared" si="19" ref="K23:L27">DEGREES(IF(ISNUMBER(I23),I23,0))</f>
        <v>26.765500576756093</v>
      </c>
      <c r="L23" s="14">
        <f t="shared" si="19"/>
        <v>0</v>
      </c>
      <c r="M23" s="33" t="str">
        <f t="shared" si="9"/>
        <v>Partial</v>
      </c>
      <c r="N23" s="14">
        <f t="shared" si="10"/>
        <v>3.0114790165796794</v>
      </c>
      <c r="O23" s="34">
        <f t="shared" si="7"/>
        <v>0.9585835430123516</v>
      </c>
      <c r="P23" s="35">
        <f t="shared" si="4"/>
        <v>2</v>
      </c>
    </row>
    <row r="24" spans="1:16" ht="12.75">
      <c r="A24" s="12">
        <v>5</v>
      </c>
      <c r="B24" s="13">
        <f>A24*4</f>
        <v>20</v>
      </c>
      <c r="C24" s="13">
        <v>2.8</v>
      </c>
      <c r="D24" s="13">
        <v>1.5</v>
      </c>
      <c r="E24" s="14">
        <f t="shared" si="1"/>
        <v>7.0685834705770345</v>
      </c>
      <c r="F24" s="15">
        <f t="shared" si="5"/>
        <v>12.755102040816327</v>
      </c>
      <c r="G24" s="14">
        <f t="shared" si="8"/>
        <v>1.7857142857142858</v>
      </c>
      <c r="H24" s="14">
        <f t="shared" si="2"/>
        <v>7.142857142857143</v>
      </c>
      <c r="I24" s="14">
        <f t="shared" si="18"/>
        <v>0.9332344061756956</v>
      </c>
      <c r="J24" s="14">
        <f t="shared" si="18"/>
        <v>0</v>
      </c>
      <c r="K24" s="14">
        <f t="shared" si="19"/>
        <v>53.47039277026497</v>
      </c>
      <c r="L24" s="14">
        <f t="shared" si="19"/>
        <v>0</v>
      </c>
      <c r="M24" s="33" t="str">
        <f t="shared" si="9"/>
        <v>Partial</v>
      </c>
      <c r="N24" s="14">
        <f t="shared" si="10"/>
        <v>5.021393059965767</v>
      </c>
      <c r="O24" s="34">
        <f t="shared" si="7"/>
        <v>0.7103818015119021</v>
      </c>
      <c r="P24" s="35">
        <f t="shared" si="4"/>
        <v>3</v>
      </c>
    </row>
    <row r="25" spans="1:16" ht="12.75">
      <c r="A25" s="12">
        <v>5</v>
      </c>
      <c r="B25" s="13">
        <f>A25*4</f>
        <v>20</v>
      </c>
      <c r="C25" s="13">
        <v>2.8</v>
      </c>
      <c r="D25" s="13">
        <v>2</v>
      </c>
      <c r="E25" s="14">
        <f aca="true" t="shared" si="20" ref="E25:E32">PI()*$D25*$D25</f>
        <v>12.566370614359172</v>
      </c>
      <c r="F25" s="15">
        <f aca="true" t="shared" si="21" ref="F25:F32">$A25*$B25/$C25/$C25</f>
        <v>12.755102040816327</v>
      </c>
      <c r="G25" s="14">
        <f aca="true" t="shared" si="22" ref="G25:G32">A25/C25</f>
        <v>1.7857142857142858</v>
      </c>
      <c r="H25" s="14">
        <f aca="true" t="shared" si="23" ref="H25:H32">B25/C25</f>
        <v>7.142857142857143</v>
      </c>
      <c r="I25" s="14">
        <f t="shared" si="18"/>
        <v>1.1080262090028044</v>
      </c>
      <c r="J25" s="14">
        <f t="shared" si="18"/>
        <v>0</v>
      </c>
      <c r="K25" s="14">
        <f t="shared" si="19"/>
        <v>63.48522536574115</v>
      </c>
      <c r="L25" s="14">
        <f t="shared" si="19"/>
        <v>0</v>
      </c>
      <c r="M25" s="33" t="str">
        <f t="shared" si="9"/>
        <v>Partial</v>
      </c>
      <c r="N25" s="14">
        <f aca="true" t="shared" si="24" ref="N25:N32">MAX(E25*(1-(K25+L25)/90)+$D25*(G25*SIN(I25)+H25*SIN(J25)),IF(M25="Tx limits",F25,0))</f>
        <v>6.89794405875703</v>
      </c>
      <c r="O25" s="34">
        <f aca="true" t="shared" si="25" ref="O25:O32">N25/E25</f>
        <v>0.5489209470612764</v>
      </c>
      <c r="P25" s="35">
        <f aca="true" t="shared" si="26" ref="P25:P32">2*D25</f>
        <v>4</v>
      </c>
    </row>
    <row r="26" spans="1:16" ht="12.75">
      <c r="A26" s="12">
        <v>5</v>
      </c>
      <c r="B26" s="13">
        <f>A26*4</f>
        <v>20</v>
      </c>
      <c r="C26" s="13">
        <v>2.8</v>
      </c>
      <c r="D26" s="13">
        <v>2.5</v>
      </c>
      <c r="E26" s="14">
        <f t="shared" si="20"/>
        <v>19.634954084936208</v>
      </c>
      <c r="F26" s="15">
        <f t="shared" si="21"/>
        <v>12.755102040816327</v>
      </c>
      <c r="G26" s="14">
        <f t="shared" si="22"/>
        <v>1.7857142857142858</v>
      </c>
      <c r="H26" s="14">
        <f t="shared" si="23"/>
        <v>7.142857142857143</v>
      </c>
      <c r="I26" s="14">
        <f t="shared" si="18"/>
        <v>1.2055891055045298</v>
      </c>
      <c r="J26" s="14">
        <f t="shared" si="18"/>
        <v>0</v>
      </c>
      <c r="K26" s="14">
        <f t="shared" si="19"/>
        <v>69.07516757236168</v>
      </c>
      <c r="L26" s="14">
        <f t="shared" si="19"/>
        <v>0</v>
      </c>
      <c r="M26" s="33" t="str">
        <f t="shared" si="9"/>
        <v>Partial</v>
      </c>
      <c r="N26" s="14">
        <f t="shared" si="24"/>
        <v>8.734955326914669</v>
      </c>
      <c r="O26" s="34">
        <f t="shared" si="25"/>
        <v>0.4448676217489127</v>
      </c>
      <c r="P26" s="35">
        <f t="shared" si="26"/>
        <v>5</v>
      </c>
    </row>
    <row r="27" spans="1:16" ht="12.75">
      <c r="A27" s="12">
        <v>5</v>
      </c>
      <c r="B27" s="13">
        <f>A27*4</f>
        <v>20</v>
      </c>
      <c r="C27" s="13">
        <v>2.8</v>
      </c>
      <c r="D27" s="13">
        <v>3</v>
      </c>
      <c r="E27" s="14">
        <f t="shared" si="20"/>
        <v>28.274333882308138</v>
      </c>
      <c r="F27" s="15">
        <f t="shared" si="21"/>
        <v>12.755102040816327</v>
      </c>
      <c r="G27" s="14">
        <f t="shared" si="22"/>
        <v>1.7857142857142858</v>
      </c>
      <c r="H27" s="14">
        <f t="shared" si="23"/>
        <v>7.142857142857143</v>
      </c>
      <c r="I27" s="14">
        <f t="shared" si="18"/>
        <v>1.2685986128534243</v>
      </c>
      <c r="J27" s="14">
        <f t="shared" si="18"/>
        <v>0</v>
      </c>
      <c r="K27" s="14">
        <f t="shared" si="19"/>
        <v>72.68534641265188</v>
      </c>
      <c r="L27" s="14">
        <f t="shared" si="19"/>
        <v>0</v>
      </c>
      <c r="M27" s="33" t="str">
        <f t="shared" si="9"/>
        <v>Partial</v>
      </c>
      <c r="N27" s="14">
        <f t="shared" si="24"/>
        <v>10.55394124554875</v>
      </c>
      <c r="O27" s="34">
        <f t="shared" si="25"/>
        <v>0.37326931518455964</v>
      </c>
      <c r="P27" s="35">
        <f t="shared" si="26"/>
        <v>6</v>
      </c>
    </row>
    <row r="28" spans="1:16" ht="12.75">
      <c r="A28" s="24">
        <v>8</v>
      </c>
      <c r="B28" s="25">
        <v>24</v>
      </c>
      <c r="C28" s="25">
        <v>2.8</v>
      </c>
      <c r="D28" s="25">
        <v>1</v>
      </c>
      <c r="E28" s="26">
        <f t="shared" si="20"/>
        <v>3.141592653589793</v>
      </c>
      <c r="F28" s="27">
        <f t="shared" si="21"/>
        <v>24.48979591836735</v>
      </c>
      <c r="G28" s="26">
        <f t="shared" si="22"/>
        <v>2.857142857142857</v>
      </c>
      <c r="H28" s="26">
        <f t="shared" si="23"/>
        <v>8.571428571428571</v>
      </c>
      <c r="I28" s="26">
        <f aca="true" t="shared" si="27" ref="I28:J32">IF(ISNUMBER(ACOS(G28/2/$D28)),ACOS(G28/2/$D28),0)</f>
        <v>0</v>
      </c>
      <c r="J28" s="26">
        <f t="shared" si="27"/>
        <v>0</v>
      </c>
      <c r="K28" s="26">
        <f aca="true" t="shared" si="28" ref="K28:L32">DEGREES(IF(ISNUMBER(I28),I28,0))</f>
        <v>0</v>
      </c>
      <c r="L28" s="26">
        <f t="shared" si="28"/>
        <v>0</v>
      </c>
      <c r="M28" s="36" t="str">
        <f t="shared" si="9"/>
        <v>Total</v>
      </c>
      <c r="N28" s="26">
        <f t="shared" si="24"/>
        <v>3.141592653589793</v>
      </c>
      <c r="O28" s="41">
        <f t="shared" si="25"/>
        <v>1</v>
      </c>
      <c r="P28" s="42">
        <f t="shared" si="26"/>
        <v>2</v>
      </c>
    </row>
    <row r="29" spans="1:16" ht="12.75">
      <c r="A29" s="24">
        <v>8</v>
      </c>
      <c r="B29" s="25">
        <v>24</v>
      </c>
      <c r="C29" s="25">
        <v>2.8</v>
      </c>
      <c r="D29" s="25">
        <v>1.5</v>
      </c>
      <c r="E29" s="26">
        <f t="shared" si="20"/>
        <v>7.0685834705770345</v>
      </c>
      <c r="F29" s="27">
        <f t="shared" si="21"/>
        <v>24.48979591836735</v>
      </c>
      <c r="G29" s="26">
        <f t="shared" si="22"/>
        <v>2.857142857142857</v>
      </c>
      <c r="H29" s="26">
        <f t="shared" si="23"/>
        <v>8.571428571428571</v>
      </c>
      <c r="I29" s="26">
        <f t="shared" si="27"/>
        <v>0.3098446397416268</v>
      </c>
      <c r="J29" s="26">
        <f t="shared" si="27"/>
        <v>0</v>
      </c>
      <c r="K29" s="26">
        <f t="shared" si="28"/>
        <v>17.752790161946674</v>
      </c>
      <c r="L29" s="26">
        <f t="shared" si="28"/>
        <v>0</v>
      </c>
      <c r="M29" s="36" t="str">
        <f t="shared" si="9"/>
        <v>Partial</v>
      </c>
      <c r="N29" s="26">
        <f t="shared" si="24"/>
        <v>6.981042640195397</v>
      </c>
      <c r="O29" s="41">
        <f t="shared" si="25"/>
        <v>0.9876155058865717</v>
      </c>
      <c r="P29" s="42">
        <f t="shared" si="26"/>
        <v>3</v>
      </c>
    </row>
    <row r="30" spans="1:16" ht="12.75">
      <c r="A30" s="24">
        <v>8</v>
      </c>
      <c r="B30" s="25">
        <v>24</v>
      </c>
      <c r="C30" s="25">
        <v>2.8</v>
      </c>
      <c r="D30" s="25">
        <v>2</v>
      </c>
      <c r="E30" s="26">
        <f t="shared" si="20"/>
        <v>12.566370614359172</v>
      </c>
      <c r="F30" s="27">
        <f t="shared" si="21"/>
        <v>24.48979591836735</v>
      </c>
      <c r="G30" s="26">
        <f t="shared" si="22"/>
        <v>2.857142857142857</v>
      </c>
      <c r="H30" s="26">
        <f t="shared" si="23"/>
        <v>8.571428571428571</v>
      </c>
      <c r="I30" s="26">
        <f t="shared" si="27"/>
        <v>0.7751933733103612</v>
      </c>
      <c r="J30" s="26">
        <f t="shared" si="27"/>
        <v>0</v>
      </c>
      <c r="K30" s="26">
        <f t="shared" si="28"/>
        <v>44.41530859719297</v>
      </c>
      <c r="L30" s="26">
        <f t="shared" si="28"/>
        <v>0</v>
      </c>
      <c r="M30" s="36" t="str">
        <f t="shared" si="9"/>
        <v>Partial</v>
      </c>
      <c r="N30" s="26">
        <f t="shared" si="24"/>
        <v>10.363990554869227</v>
      </c>
      <c r="O30" s="41">
        <f t="shared" si="25"/>
        <v>0.8247401634825764</v>
      </c>
      <c r="P30" s="42">
        <f t="shared" si="26"/>
        <v>4</v>
      </c>
    </row>
    <row r="31" spans="1:16" ht="12.75">
      <c r="A31" s="24">
        <v>8</v>
      </c>
      <c r="B31" s="25">
        <v>24</v>
      </c>
      <c r="C31" s="25">
        <v>2.8</v>
      </c>
      <c r="D31" s="25">
        <v>2.5</v>
      </c>
      <c r="E31" s="26">
        <f t="shared" si="20"/>
        <v>19.634954084936208</v>
      </c>
      <c r="F31" s="27">
        <f t="shared" si="21"/>
        <v>24.48979591836735</v>
      </c>
      <c r="G31" s="26">
        <f t="shared" si="22"/>
        <v>2.857142857142857</v>
      </c>
      <c r="H31" s="26">
        <f t="shared" si="23"/>
        <v>8.571428571428571</v>
      </c>
      <c r="I31" s="26">
        <f t="shared" si="27"/>
        <v>0.962550747884687</v>
      </c>
      <c r="J31" s="26">
        <f t="shared" si="27"/>
        <v>0</v>
      </c>
      <c r="K31" s="26">
        <f t="shared" si="28"/>
        <v>55.15009542095352</v>
      </c>
      <c r="L31" s="26">
        <f t="shared" si="28"/>
        <v>0</v>
      </c>
      <c r="M31" s="36" t="str">
        <f t="shared" si="9"/>
        <v>Partial</v>
      </c>
      <c r="N31" s="26">
        <f t="shared" si="24"/>
        <v>13.464868355293975</v>
      </c>
      <c r="O31" s="41">
        <f t="shared" si="25"/>
        <v>0.685760114184536</v>
      </c>
      <c r="P31" s="42">
        <f t="shared" si="26"/>
        <v>5</v>
      </c>
    </row>
    <row r="32" spans="1:16" ht="12.75">
      <c r="A32" s="28">
        <v>8</v>
      </c>
      <c r="B32" s="29">
        <v>24</v>
      </c>
      <c r="C32" s="29">
        <v>2.8</v>
      </c>
      <c r="D32" s="29">
        <v>3</v>
      </c>
      <c r="E32" s="30">
        <f t="shared" si="20"/>
        <v>28.274333882308138</v>
      </c>
      <c r="F32" s="31">
        <f t="shared" si="21"/>
        <v>24.48979591836735</v>
      </c>
      <c r="G32" s="30">
        <f t="shared" si="22"/>
        <v>2.857142857142857</v>
      </c>
      <c r="H32" s="30">
        <f t="shared" si="23"/>
        <v>8.571428571428571</v>
      </c>
      <c r="I32" s="30">
        <f t="shared" si="27"/>
        <v>1.07447896466943</v>
      </c>
      <c r="J32" s="30">
        <f t="shared" si="27"/>
        <v>0</v>
      </c>
      <c r="K32" s="30">
        <f t="shared" si="28"/>
        <v>61.56310985114463</v>
      </c>
      <c r="L32" s="30">
        <f t="shared" si="28"/>
        <v>0</v>
      </c>
      <c r="M32" s="43" t="str">
        <f t="shared" si="9"/>
        <v>Partial</v>
      </c>
      <c r="N32" s="30">
        <f t="shared" si="24"/>
        <v>16.47093101320509</v>
      </c>
      <c r="O32" s="44">
        <f t="shared" si="25"/>
        <v>0.5825400195727088</v>
      </c>
      <c r="P32" s="45">
        <f t="shared" si="26"/>
        <v>6</v>
      </c>
    </row>
    <row r="34" ht="22.5" customHeight="1">
      <c r="A34" s="3" t="s">
        <v>10</v>
      </c>
    </row>
    <row r="35" spans="1:16" ht="22.5" customHeight="1">
      <c r="A35" s="51" t="s">
        <v>27</v>
      </c>
      <c r="B35" s="51"/>
      <c r="C35" s="51"/>
      <c r="D35" s="51"/>
      <c r="E35" s="51"/>
      <c r="F35" s="51"/>
      <c r="G35" s="51"/>
      <c r="H35" s="51"/>
      <c r="I35" s="51"/>
      <c r="J35" s="51"/>
      <c r="K35" s="51"/>
      <c r="L35" s="51"/>
      <c r="M35" s="51"/>
      <c r="N35" s="51"/>
      <c r="O35" s="51"/>
      <c r="P35" s="51"/>
    </row>
    <row r="36" spans="1:16" ht="21.75" customHeight="1">
      <c r="A36" s="51"/>
      <c r="B36" s="51"/>
      <c r="C36" s="51"/>
      <c r="D36" s="51"/>
      <c r="E36" s="51"/>
      <c r="F36" s="51"/>
      <c r="G36" s="51"/>
      <c r="H36" s="51"/>
      <c r="I36" s="51"/>
      <c r="J36" s="51"/>
      <c r="K36" s="51"/>
      <c r="L36" s="51"/>
      <c r="M36" s="51"/>
      <c r="N36" s="51"/>
      <c r="O36" s="51"/>
      <c r="P36" s="51"/>
    </row>
    <row r="37" ht="21.75" customHeight="1">
      <c r="A37" t="s">
        <v>18</v>
      </c>
    </row>
    <row r="38" ht="21.75" customHeight="1">
      <c r="B38" s="9" t="s">
        <v>19</v>
      </c>
    </row>
    <row r="39" ht="21" customHeight="1">
      <c r="B39" s="9" t="s">
        <v>20</v>
      </c>
    </row>
    <row r="40" ht="23.25" customHeight="1">
      <c r="B40" s="10" t="s">
        <v>21</v>
      </c>
    </row>
    <row r="41" ht="21.75" customHeight="1">
      <c r="B41" s="8" t="s">
        <v>17</v>
      </c>
    </row>
    <row r="42" ht="15">
      <c r="B42" s="8"/>
    </row>
    <row r="44" ht="15">
      <c r="B44" s="8"/>
    </row>
  </sheetData>
  <mergeCells count="3">
    <mergeCell ref="A1:E1"/>
    <mergeCell ref="F1:P1"/>
    <mergeCell ref="A35:P36"/>
  </mergeCells>
  <printOptions/>
  <pageMargins left="0.75" right="0.75" top="1" bottom="1" header="0" footer="0"/>
  <pageSetup horizontalDpi="600" verticalDpi="600" orientation="portrait" r:id="rId1"/>
  <ignoredErrors>
    <ignoredError sqref="B3:B2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Rob Giorgi</cp:lastModifiedBy>
  <dcterms:created xsi:type="dcterms:W3CDTF">1996-11-27T10:00:04Z</dcterms:created>
  <dcterms:modified xsi:type="dcterms:W3CDTF">2008-02-21T22:42:55Z</dcterms:modified>
  <cp:category/>
  <cp:version/>
  <cp:contentType/>
  <cp:contentStatus/>
</cp:coreProperties>
</file>